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ptop\Documents\Work\"/>
    </mc:Choice>
  </mc:AlternateContent>
  <bookViews>
    <workbookView xWindow="0" yWindow="0" windowWidth="23040" windowHeight="9075" activeTab="1"/>
  </bookViews>
  <sheets>
    <sheet name="Scenario Summary" sheetId="4" r:id="rId1"/>
    <sheet name="Scenario Summary 2" sheetId="5" r:id="rId2"/>
    <sheet name="Sheet1" sheetId="1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1" i="1" l="1"/>
  <c r="C19" i="1" s="1"/>
  <c r="C46" i="1"/>
  <c r="C31" i="1" s="1"/>
  <c r="C38" i="1"/>
  <c r="D37" i="1"/>
  <c r="E37" i="1"/>
  <c r="F37" i="1"/>
  <c r="G37" i="1"/>
  <c r="C37" i="1"/>
  <c r="C29" i="1"/>
  <c r="C30" i="1" s="1"/>
  <c r="D28" i="1"/>
  <c r="E28" i="1"/>
  <c r="F28" i="1" s="1"/>
  <c r="G28" i="1" s="1"/>
  <c r="C28" i="1"/>
  <c r="C26" i="1"/>
  <c r="D51" i="1" l="1"/>
  <c r="E51" i="1" s="1"/>
  <c r="F51" i="1" s="1"/>
  <c r="D29" i="1"/>
  <c r="C32" i="1"/>
  <c r="C33" i="1" s="1"/>
  <c r="C34" i="1" s="1"/>
  <c r="B30" i="1"/>
  <c r="B32" i="1" s="1"/>
  <c r="C23" i="1" l="1"/>
  <c r="C52" i="1"/>
  <c r="E29" i="1"/>
  <c r="D30" i="1"/>
  <c r="D19" i="1"/>
  <c r="E19" i="1"/>
  <c r="F19" i="1"/>
  <c r="G51" i="1"/>
  <c r="G19" i="1" s="1"/>
  <c r="C36" i="1"/>
  <c r="C40" i="1" s="1"/>
  <c r="B33" i="1"/>
  <c r="B34" i="1" s="1"/>
  <c r="B52" i="1" s="1"/>
  <c r="C20" i="1" l="1"/>
  <c r="C53" i="1"/>
  <c r="C21" i="1" s="1"/>
  <c r="F29" i="1"/>
  <c r="E30" i="1"/>
  <c r="C41" i="1"/>
  <c r="C42" i="1"/>
  <c r="C48" i="1" s="1"/>
  <c r="C43" i="1" l="1"/>
  <c r="D26" i="1" s="1"/>
  <c r="C47" i="1"/>
  <c r="C49" i="1" s="1"/>
  <c r="G29" i="1"/>
  <c r="G30" i="1" s="1"/>
  <c r="F30" i="1"/>
  <c r="C22" i="1" l="1"/>
  <c r="D46" i="1"/>
  <c r="D31" i="1" l="1"/>
  <c r="D32" i="1" s="1"/>
  <c r="D33" i="1" s="1"/>
  <c r="D34" i="1" s="1"/>
  <c r="D36" i="1" l="1"/>
  <c r="D40" i="1" s="1"/>
  <c r="D52" i="1"/>
  <c r="D23" i="1"/>
  <c r="D41" i="1" l="1"/>
  <c r="D47" i="1" s="1"/>
  <c r="D42" i="1"/>
  <c r="D48" i="1" s="1"/>
  <c r="D20" i="1"/>
  <c r="D53" i="1"/>
  <c r="D21" i="1" s="1"/>
  <c r="D49" i="1" l="1"/>
  <c r="E46" i="1" s="1"/>
  <c r="D43" i="1"/>
  <c r="E26" i="1" s="1"/>
  <c r="D22" i="1" l="1"/>
  <c r="E31" i="1"/>
  <c r="E32" i="1" s="1"/>
  <c r="E33" i="1" s="1"/>
  <c r="E34" i="1" s="1"/>
  <c r="E36" i="1" l="1"/>
  <c r="E40" i="1" s="1"/>
  <c r="E52" i="1"/>
  <c r="E23" i="1"/>
  <c r="E20" i="1" l="1"/>
  <c r="E53" i="1"/>
  <c r="E21" i="1" s="1"/>
  <c r="E41" i="1"/>
  <c r="E47" i="1" s="1"/>
  <c r="E42" i="1"/>
  <c r="E48" i="1" s="1"/>
  <c r="E43" i="1" l="1"/>
  <c r="F26" i="1" s="1"/>
  <c r="E49" i="1"/>
  <c r="F46" i="1" l="1"/>
  <c r="E22" i="1"/>
  <c r="F31" i="1" l="1"/>
  <c r="F32" i="1" s="1"/>
  <c r="F33" i="1" s="1"/>
  <c r="F34" i="1" s="1"/>
  <c r="F36" i="1" l="1"/>
  <c r="F40" i="1" s="1"/>
  <c r="F23" i="1"/>
  <c r="F52" i="1"/>
  <c r="F41" i="1" l="1"/>
  <c r="F47" i="1" s="1"/>
  <c r="F42" i="1"/>
  <c r="F48" i="1" s="1"/>
  <c r="F20" i="1"/>
  <c r="F53" i="1"/>
  <c r="F21" i="1" s="1"/>
  <c r="F49" i="1" l="1"/>
  <c r="G46" i="1" s="1"/>
  <c r="F43" i="1"/>
  <c r="G26" i="1" s="1"/>
  <c r="F22" i="1" l="1"/>
  <c r="G31" i="1"/>
  <c r="G32" i="1" s="1"/>
  <c r="G33" i="1" s="1"/>
  <c r="G34" i="1" s="1"/>
  <c r="G36" i="1" l="1"/>
  <c r="G40" i="1" s="1"/>
  <c r="G52" i="1"/>
  <c r="G23" i="1"/>
  <c r="G41" i="1" l="1"/>
  <c r="G47" i="1" s="1"/>
  <c r="G42" i="1"/>
  <c r="G48" i="1" s="1"/>
  <c r="G20" i="1"/>
  <c r="G53" i="1"/>
  <c r="G21" i="1" s="1"/>
  <c r="G43" i="1" l="1"/>
  <c r="G49" i="1"/>
  <c r="G22" i="1" s="1"/>
</calcChain>
</file>

<file path=xl/sharedStrings.xml><?xml version="1.0" encoding="utf-8"?>
<sst xmlns="http://schemas.openxmlformats.org/spreadsheetml/2006/main" count="145" uniqueCount="66">
  <si>
    <t>The Stock Buyback Decision</t>
  </si>
  <si>
    <t>2016</t>
  </si>
  <si>
    <t>2017</t>
  </si>
  <si>
    <t>2018</t>
  </si>
  <si>
    <t>2019</t>
  </si>
  <si>
    <t>2020</t>
  </si>
  <si>
    <t>2021</t>
  </si>
  <si>
    <t>Expected Tax Rate</t>
  </si>
  <si>
    <t>Expected Capital Additions</t>
  </si>
  <si>
    <t>NA</t>
  </si>
  <si>
    <t>Executive Bonus Shares To Be Issued</t>
  </si>
  <si>
    <t>Summary of Key Results</t>
  </si>
  <si>
    <t>Inputs</t>
  </si>
  <si>
    <t>Constants</t>
  </si>
  <si>
    <t>Number of Shares to Buy Back</t>
  </si>
  <si>
    <t>Expected Interest Rate on New Debt</t>
  </si>
  <si>
    <t>Income Statement and Cash Flow</t>
  </si>
  <si>
    <t>Cash on Hand at Beginning of Year</t>
  </si>
  <si>
    <t>Revenue</t>
  </si>
  <si>
    <t>Costs and Expenses</t>
  </si>
  <si>
    <t>Interest Expense</t>
  </si>
  <si>
    <t>Interest Rate on Existing Debt</t>
  </si>
  <si>
    <t>Net Income Before Taxes</t>
  </si>
  <si>
    <t>Net Income After Taxes</t>
  </si>
  <si>
    <t>Net Income Before Interest and Taxes</t>
  </si>
  <si>
    <t>Income Taxes</t>
  </si>
  <si>
    <t>Expected Increase in Revenue</t>
  </si>
  <si>
    <t>Expected Increase in Costs and Expenses</t>
  </si>
  <si>
    <t>Net Cash Position (NCP)</t>
  </si>
  <si>
    <t>Debt Owed</t>
  </si>
  <si>
    <t>Beginning of Year Debt Owed</t>
  </si>
  <si>
    <t xml:space="preserve">Increase in Borrowings </t>
  </si>
  <si>
    <t>Repayment of Borrowings</t>
  </si>
  <si>
    <t>Capital Additions</t>
  </si>
  <si>
    <t>End of Year Debt Owed</t>
  </si>
  <si>
    <t>Common Shares Outstanding</t>
  </si>
  <si>
    <t>Expected Price-Earnings Ratio</t>
  </si>
  <si>
    <t>Expected Common Stock Market Price</t>
  </si>
  <si>
    <t>Earnings Per Share</t>
  </si>
  <si>
    <t>Cash Needed to Buy Back Shares</t>
  </si>
  <si>
    <t>Dividend Payout Ratio</t>
  </si>
  <si>
    <t>Dividends</t>
  </si>
  <si>
    <t>Cash Needed to Start the Year</t>
  </si>
  <si>
    <t>End of Year Cash on Hand</t>
  </si>
  <si>
    <t>$C$12</t>
  </si>
  <si>
    <t>$C$13</t>
  </si>
  <si>
    <t>$C$14</t>
  </si>
  <si>
    <t>$C$15</t>
  </si>
  <si>
    <t>$C$16</t>
  </si>
  <si>
    <t>$B$23</t>
  </si>
  <si>
    <t>$C$23</t>
  </si>
  <si>
    <t>$D$23</t>
  </si>
  <si>
    <t>$E$23</t>
  </si>
  <si>
    <t>$F$23</t>
  </si>
  <si>
    <t>$G$23</t>
  </si>
  <si>
    <t>Scenario Summary</t>
  </si>
  <si>
    <t>Changing Cells:</t>
  </si>
  <si>
    <t>Current Values:</t>
  </si>
  <si>
    <t>Result Cells:</t>
  </si>
  <si>
    <t>Notes:  Current Values column represents values of changing cells at</t>
  </si>
  <si>
    <t>time Scenario Summary Report was created.  Changing cells for each</t>
  </si>
  <si>
    <t>scenario are highlighted in gray.</t>
  </si>
  <si>
    <t xml:space="preserve">Qustion 1 : Do Nothing  </t>
  </si>
  <si>
    <t xml:space="preserve">Qustion 2: Buyback only </t>
  </si>
  <si>
    <t>Qustion 3 : bouns share only</t>
  </si>
  <si>
    <t>Qustion 4 Broard Recommendation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</si>
</sst>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sz val="12"/>
      <color theme="1"/>
      <name val="Calibri"/>
      <family val="2"/>
      <scheme val="minor"/>
    </font>
    <font>
      <u val="singleAccounting"/>
      <sz val="12"/>
      <color theme="1"/>
      <name val="Times New Roman"/>
      <family val="1"/>
    </font>
    <font>
      <u/>
      <sz val="12"/>
      <color theme="1"/>
      <name val="Times New Roman"/>
      <family val="1"/>
    </font>
    <font>
      <sz val="10"/>
      <color indexed="9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18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1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" fontId="4" fillId="0" borderId="0" xfId="0" quotePrefix="1" applyNumberFormat="1" applyFont="1" applyAlignment="1">
      <alignment horizontal="center"/>
    </xf>
    <xf numFmtId="9" fontId="3" fillId="0" borderId="0" xfId="3" applyFont="1" applyAlignment="1">
      <alignment horizontal="center"/>
    </xf>
    <xf numFmtId="9" fontId="3" fillId="0" borderId="0" xfId="3" applyFont="1"/>
    <xf numFmtId="5" fontId="3" fillId="0" borderId="0" xfId="2" applyNumberFormat="1" applyFont="1"/>
    <xf numFmtId="165" fontId="3" fillId="0" borderId="0" xfId="1" applyNumberFormat="1" applyFont="1"/>
    <xf numFmtId="44" fontId="3" fillId="0" borderId="0" xfId="2" applyFont="1"/>
    <xf numFmtId="164" fontId="3" fillId="0" borderId="0" xfId="2" applyNumberFormat="1" applyFont="1"/>
    <xf numFmtId="164" fontId="3" fillId="0" borderId="0" xfId="0" applyNumberFormat="1" applyFont="1"/>
    <xf numFmtId="164" fontId="7" fillId="0" borderId="0" xfId="2" applyNumberFormat="1" applyFont="1"/>
    <xf numFmtId="9" fontId="8" fillId="0" borderId="0" xfId="3" applyFont="1" applyAlignment="1">
      <alignment horizontal="center"/>
    </xf>
    <xf numFmtId="165" fontId="3" fillId="0" borderId="0" xfId="0" applyNumberFormat="1" applyFont="1"/>
    <xf numFmtId="164" fontId="7" fillId="0" borderId="0" xfId="0" applyNumberFormat="1" applyFont="1"/>
    <xf numFmtId="9" fontId="3" fillId="0" borderId="1" xfId="3" applyFont="1" applyBorder="1"/>
    <xf numFmtId="166" fontId="3" fillId="0" borderId="1" xfId="0" applyNumberFormat="1" applyFont="1" applyBorder="1"/>
    <xf numFmtId="165" fontId="3" fillId="0" borderId="1" xfId="1" applyNumberFormat="1" applyFont="1" applyBorder="1"/>
    <xf numFmtId="5" fontId="3" fillId="0" borderId="0" xfId="0" applyNumberFormat="1" applyFont="1"/>
    <xf numFmtId="9" fontId="3" fillId="0" borderId="0" xfId="0" applyNumberFormat="1" applyFont="1"/>
    <xf numFmtId="0" fontId="0" fillId="0" borderId="0" xfId="0" applyFill="1" applyBorder="1" applyAlignment="1"/>
    <xf numFmtId="165" fontId="0" fillId="0" borderId="0" xfId="0" applyNumberFormat="1" applyFill="1" applyBorder="1" applyAlignment="1"/>
    <xf numFmtId="9" fontId="0" fillId="0" borderId="0" xfId="0" applyNumberFormat="1" applyFill="1" applyBorder="1" applyAlignment="1"/>
    <xf numFmtId="166" fontId="0" fillId="0" borderId="0" xfId="0" applyNumberFormat="1" applyFill="1" applyBorder="1" applyAlignment="1"/>
    <xf numFmtId="164" fontId="0" fillId="0" borderId="0" xfId="0" applyNumberFormat="1" applyFill="1" applyBorder="1" applyAlignment="1"/>
    <xf numFmtId="164" fontId="0" fillId="0" borderId="3" xfId="0" applyNumberFormat="1" applyFill="1" applyBorder="1" applyAlignment="1"/>
    <xf numFmtId="0" fontId="0" fillId="0" borderId="5" xfId="0" applyFill="1" applyBorder="1" applyAlignment="1"/>
    <xf numFmtId="0" fontId="9" fillId="2" borderId="2" xfId="0" applyFont="1" applyFill="1" applyBorder="1" applyAlignment="1">
      <alignment horizontal="right"/>
    </xf>
    <xf numFmtId="0" fontId="9" fillId="2" borderId="4" xfId="0" applyFont="1" applyFill="1" applyBorder="1" applyAlignment="1">
      <alignment horizontal="right"/>
    </xf>
    <xf numFmtId="165" fontId="0" fillId="4" borderId="0" xfId="0" applyNumberFormat="1" applyFill="1" applyBorder="1" applyAlignment="1"/>
    <xf numFmtId="9" fontId="0" fillId="4" borderId="0" xfId="0" applyNumberFormat="1" applyFill="1" applyBorder="1" applyAlignment="1"/>
    <xf numFmtId="166" fontId="0" fillId="4" borderId="0" xfId="0" applyNumberFormat="1" applyFill="1" applyBorder="1" applyAlignment="1"/>
    <xf numFmtId="0" fontId="10" fillId="0" borderId="0" xfId="0" applyFont="1" applyFill="1" applyBorder="1" applyAlignment="1">
      <alignment vertical="top" wrapText="1"/>
    </xf>
    <xf numFmtId="0" fontId="11" fillId="2" borderId="4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3" fillId="3" borderId="5" xfId="0" applyFont="1" applyFill="1" applyBorder="1" applyAlignment="1">
      <alignment horizontal="left"/>
    </xf>
    <xf numFmtId="0" fontId="12" fillId="3" borderId="3" xfId="0" applyFont="1" applyFill="1" applyBorder="1" applyAlignment="1">
      <alignment horizontal="left"/>
    </xf>
    <xf numFmtId="0" fontId="14" fillId="2" borderId="4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15" fillId="3" borderId="0" xfId="0" applyFont="1" applyFill="1" applyBorder="1" applyAlignment="1">
      <alignment horizontal="left"/>
    </xf>
    <xf numFmtId="0" fontId="16" fillId="3" borderId="5" xfId="0" applyFont="1" applyFill="1" applyBorder="1" applyAlignment="1">
      <alignment horizontal="left"/>
    </xf>
    <xf numFmtId="0" fontId="15" fillId="3" borderId="3" xfId="0" applyFont="1" applyFill="1" applyBorder="1" applyAlignment="1">
      <alignment horizontal="left"/>
    </xf>
    <xf numFmtId="0" fontId="10" fillId="0" borderId="0" xfId="0" applyFont="1" applyFill="1" applyBorder="1" applyAlignme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3"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H20"/>
  <sheetViews>
    <sheetView showGridLines="0" workbookViewId="0"/>
  </sheetViews>
  <sheetFormatPr defaultRowHeight="15" outlineLevelRow="1" outlineLevelCol="1" x14ac:dyDescent="0.25"/>
  <cols>
    <col min="3" max="3" width="6.28515625" bestFit="1" customWidth="1"/>
    <col min="4" max="8" width="28.7109375" bestFit="1" customWidth="1" outlineLevel="1"/>
  </cols>
  <sheetData>
    <row r="1" spans="2:8" ht="15.75" thickBot="1" x14ac:dyDescent="0.3"/>
    <row r="2" spans="2:8" ht="15.75" x14ac:dyDescent="0.25">
      <c r="B2" s="37" t="s">
        <v>55</v>
      </c>
      <c r="C2" s="37"/>
      <c r="D2" s="30"/>
      <c r="E2" s="30"/>
      <c r="F2" s="30"/>
      <c r="G2" s="30"/>
      <c r="H2" s="30"/>
    </row>
    <row r="3" spans="2:8" ht="15.75" collapsed="1" x14ac:dyDescent="0.25">
      <c r="B3" s="36"/>
      <c r="C3" s="36"/>
      <c r="D3" s="31" t="s">
        <v>57</v>
      </c>
      <c r="E3" s="31" t="s">
        <v>62</v>
      </c>
      <c r="F3" s="31" t="s">
        <v>63</v>
      </c>
      <c r="G3" s="31" t="s">
        <v>64</v>
      </c>
      <c r="H3" s="31" t="s">
        <v>65</v>
      </c>
    </row>
    <row r="4" spans="2:8" hidden="1" outlineLevel="1" x14ac:dyDescent="0.25">
      <c r="B4" s="38"/>
      <c r="C4" s="38"/>
      <c r="D4" s="23"/>
      <c r="E4" s="35"/>
      <c r="F4" s="35"/>
      <c r="G4" s="35"/>
      <c r="H4" s="35"/>
    </row>
    <row r="5" spans="2:8" x14ac:dyDescent="0.25">
      <c r="B5" s="39" t="s">
        <v>56</v>
      </c>
      <c r="C5" s="39"/>
      <c r="D5" s="29"/>
      <c r="E5" s="29"/>
      <c r="F5" s="29"/>
      <c r="G5" s="29"/>
      <c r="H5" s="29"/>
    </row>
    <row r="6" spans="2:8" outlineLevel="1" x14ac:dyDescent="0.25">
      <c r="B6" s="38"/>
      <c r="C6" s="38" t="s">
        <v>44</v>
      </c>
      <c r="D6" s="24">
        <v>1500000</v>
      </c>
      <c r="E6" s="32">
        <v>0</v>
      </c>
      <c r="F6" s="32">
        <v>1500000</v>
      </c>
      <c r="G6" s="32">
        <v>0</v>
      </c>
      <c r="H6" s="32">
        <v>1500000</v>
      </c>
    </row>
    <row r="7" spans="2:8" outlineLevel="1" x14ac:dyDescent="0.25">
      <c r="B7" s="38"/>
      <c r="C7" s="38" t="s">
        <v>45</v>
      </c>
      <c r="D7" s="24">
        <v>300000</v>
      </c>
      <c r="E7" s="32">
        <v>0</v>
      </c>
      <c r="F7" s="32">
        <v>0</v>
      </c>
      <c r="G7" s="32">
        <v>300000</v>
      </c>
      <c r="H7" s="32">
        <v>300000</v>
      </c>
    </row>
    <row r="8" spans="2:8" outlineLevel="1" x14ac:dyDescent="0.25">
      <c r="B8" s="38"/>
      <c r="C8" s="38" t="s">
        <v>46</v>
      </c>
      <c r="D8" s="25">
        <v>0.03</v>
      </c>
      <c r="E8" s="33">
        <v>0.03</v>
      </c>
      <c r="F8" s="33">
        <v>0.03</v>
      </c>
      <c r="G8" s="33">
        <v>0.03</v>
      </c>
      <c r="H8" s="33">
        <v>0.03</v>
      </c>
    </row>
    <row r="9" spans="2:8" outlineLevel="1" x14ac:dyDescent="0.25">
      <c r="B9" s="38"/>
      <c r="C9" s="38" t="s">
        <v>47</v>
      </c>
      <c r="D9" s="25">
        <v>0.02</v>
      </c>
      <c r="E9" s="33">
        <v>0.02</v>
      </c>
      <c r="F9" s="33">
        <v>0.02</v>
      </c>
      <c r="G9" s="33">
        <v>0.02</v>
      </c>
      <c r="H9" s="33">
        <v>0.02</v>
      </c>
    </row>
    <row r="10" spans="2:8" outlineLevel="1" x14ac:dyDescent="0.25">
      <c r="B10" s="38"/>
      <c r="C10" s="38" t="s">
        <v>48</v>
      </c>
      <c r="D10" s="26">
        <v>3</v>
      </c>
      <c r="E10" s="34">
        <v>3</v>
      </c>
      <c r="F10" s="34">
        <v>3</v>
      </c>
      <c r="G10" s="34">
        <v>3</v>
      </c>
      <c r="H10" s="34">
        <v>3</v>
      </c>
    </row>
    <row r="11" spans="2:8" x14ac:dyDescent="0.25">
      <c r="B11" s="39" t="s">
        <v>58</v>
      </c>
      <c r="C11" s="39"/>
      <c r="D11" s="29"/>
      <c r="E11" s="29"/>
      <c r="F11" s="29"/>
      <c r="G11" s="29"/>
      <c r="H11" s="29"/>
    </row>
    <row r="12" spans="2:8" outlineLevel="1" x14ac:dyDescent="0.25">
      <c r="B12" s="38"/>
      <c r="C12" s="38" t="s">
        <v>49</v>
      </c>
      <c r="D12" s="27">
        <v>260000000</v>
      </c>
      <c r="E12" s="27">
        <v>260000000</v>
      </c>
      <c r="F12" s="27">
        <v>260000000</v>
      </c>
      <c r="G12" s="27">
        <v>260000000</v>
      </c>
      <c r="H12" s="27">
        <v>260000000</v>
      </c>
    </row>
    <row r="13" spans="2:8" outlineLevel="1" x14ac:dyDescent="0.25">
      <c r="B13" s="38"/>
      <c r="C13" s="38" t="s">
        <v>50</v>
      </c>
      <c r="D13" s="27">
        <v>265600000</v>
      </c>
      <c r="E13" s="27">
        <v>265600000</v>
      </c>
      <c r="F13" s="27">
        <v>265600000</v>
      </c>
      <c r="G13" s="27">
        <v>265600000</v>
      </c>
      <c r="H13" s="27">
        <v>265600000</v>
      </c>
    </row>
    <row r="14" spans="2:8" outlineLevel="1" x14ac:dyDescent="0.25">
      <c r="B14" s="38"/>
      <c r="C14" s="38" t="s">
        <v>51</v>
      </c>
      <c r="D14" s="27">
        <v>264003520</v>
      </c>
      <c r="E14" s="27">
        <v>266811520</v>
      </c>
      <c r="F14" s="27">
        <v>264003520</v>
      </c>
      <c r="G14" s="27">
        <v>266811520</v>
      </c>
      <c r="H14" s="27">
        <v>264003520</v>
      </c>
    </row>
    <row r="15" spans="2:8" outlineLevel="1" x14ac:dyDescent="0.25">
      <c r="B15" s="38"/>
      <c r="C15" s="38" t="s">
        <v>52</v>
      </c>
      <c r="D15" s="27">
        <v>274898627.58399999</v>
      </c>
      <c r="E15" s="27">
        <v>278175408.63999999</v>
      </c>
      <c r="F15" s="27">
        <v>274898627.58399999</v>
      </c>
      <c r="G15" s="27">
        <v>278175408.63999999</v>
      </c>
      <c r="H15" s="27">
        <v>274898627.58399999</v>
      </c>
    </row>
    <row r="16" spans="2:8" outlineLevel="1" x14ac:dyDescent="0.25">
      <c r="B16" s="38"/>
      <c r="C16" s="38" t="s">
        <v>53</v>
      </c>
      <c r="D16" s="27">
        <v>288145073.52268797</v>
      </c>
      <c r="E16" s="27">
        <v>293019786.51648003</v>
      </c>
      <c r="F16" s="27">
        <v>288145073.52268797</v>
      </c>
      <c r="G16" s="27">
        <v>293019786.51648003</v>
      </c>
      <c r="H16" s="27">
        <v>288145073.52268797</v>
      </c>
    </row>
    <row r="17" spans="2:8" ht="15.75" outlineLevel="1" thickBot="1" x14ac:dyDescent="0.3">
      <c r="B17" s="40"/>
      <c r="C17" s="40" t="s">
        <v>54</v>
      </c>
      <c r="D17" s="28">
        <v>303427335.97141403</v>
      </c>
      <c r="E17" s="28">
        <v>308458039.78100699</v>
      </c>
      <c r="F17" s="28">
        <v>303427335.97141403</v>
      </c>
      <c r="G17" s="28">
        <v>308458039.78100699</v>
      </c>
      <c r="H17" s="28">
        <v>303427335.97141403</v>
      </c>
    </row>
    <row r="18" spans="2:8" x14ac:dyDescent="0.25">
      <c r="B18" t="s">
        <v>59</v>
      </c>
    </row>
    <row r="19" spans="2:8" x14ac:dyDescent="0.25">
      <c r="B19" t="s">
        <v>60</v>
      </c>
    </row>
    <row r="20" spans="2:8" x14ac:dyDescent="0.25">
      <c r="B20" t="s">
        <v>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H20"/>
  <sheetViews>
    <sheetView showGridLines="0" tabSelected="1" topLeftCell="A2" workbookViewId="0"/>
  </sheetViews>
  <sheetFormatPr defaultRowHeight="15" outlineLevelRow="1" outlineLevelCol="1" x14ac:dyDescent="0.25"/>
  <cols>
    <col min="3" max="3" width="6.42578125" customWidth="1"/>
    <col min="4" max="8" width="29.140625" bestFit="1" customWidth="1" outlineLevel="1"/>
  </cols>
  <sheetData>
    <row r="1" spans="2:8" ht="15.75" thickBot="1" x14ac:dyDescent="0.3"/>
    <row r="2" spans="2:8" ht="15.75" x14ac:dyDescent="0.25">
      <c r="B2" s="42" t="s">
        <v>55</v>
      </c>
      <c r="C2" s="42"/>
      <c r="D2" s="30"/>
      <c r="E2" s="30"/>
      <c r="F2" s="30"/>
      <c r="G2" s="30"/>
      <c r="H2" s="30"/>
    </row>
    <row r="3" spans="2:8" ht="15.75" collapsed="1" x14ac:dyDescent="0.25">
      <c r="B3" s="41"/>
      <c r="C3" s="41"/>
      <c r="D3" s="31" t="s">
        <v>57</v>
      </c>
      <c r="E3" s="31" t="s">
        <v>62</v>
      </c>
      <c r="F3" s="31" t="s">
        <v>63</v>
      </c>
      <c r="G3" s="31" t="s">
        <v>64</v>
      </c>
      <c r="H3" s="31" t="s">
        <v>65</v>
      </c>
    </row>
    <row r="4" spans="2:8" hidden="1" outlineLevel="1" x14ac:dyDescent="0.25">
      <c r="B4" s="43"/>
      <c r="C4" s="43"/>
      <c r="D4" s="23"/>
      <c r="E4" s="46"/>
      <c r="F4" s="46"/>
      <c r="G4" s="46"/>
      <c r="H4" s="46"/>
    </row>
    <row r="5" spans="2:8" x14ac:dyDescent="0.25">
      <c r="B5" s="44" t="s">
        <v>56</v>
      </c>
      <c r="C5" s="44"/>
      <c r="D5" s="29"/>
      <c r="E5" s="29"/>
      <c r="F5" s="29"/>
      <c r="G5" s="29"/>
      <c r="H5" s="29"/>
    </row>
    <row r="6" spans="2:8" outlineLevel="1" x14ac:dyDescent="0.25">
      <c r="B6" s="43"/>
      <c r="C6" s="43" t="s">
        <v>44</v>
      </c>
      <c r="D6" s="24">
        <v>1500000</v>
      </c>
      <c r="E6" s="32">
        <v>0</v>
      </c>
      <c r="F6" s="32">
        <v>1500000</v>
      </c>
      <c r="G6" s="32">
        <v>0</v>
      </c>
      <c r="H6" s="32">
        <v>1500000</v>
      </c>
    </row>
    <row r="7" spans="2:8" outlineLevel="1" x14ac:dyDescent="0.25">
      <c r="B7" s="43"/>
      <c r="C7" s="43" t="s">
        <v>45</v>
      </c>
      <c r="D7" s="24">
        <v>300000</v>
      </c>
      <c r="E7" s="32">
        <v>0</v>
      </c>
      <c r="F7" s="32">
        <v>0</v>
      </c>
      <c r="G7" s="32">
        <v>300000</v>
      </c>
      <c r="H7" s="32">
        <v>300000</v>
      </c>
    </row>
    <row r="8" spans="2:8" outlineLevel="1" x14ac:dyDescent="0.25">
      <c r="B8" s="43"/>
      <c r="C8" s="43" t="s">
        <v>46</v>
      </c>
      <c r="D8" s="25">
        <v>0.03</v>
      </c>
      <c r="E8" s="33">
        <v>0.03</v>
      </c>
      <c r="F8" s="33">
        <v>0.03</v>
      </c>
      <c r="G8" s="33">
        <v>0.03</v>
      </c>
      <c r="H8" s="33">
        <v>0.03</v>
      </c>
    </row>
    <row r="9" spans="2:8" outlineLevel="1" x14ac:dyDescent="0.25">
      <c r="B9" s="43"/>
      <c r="C9" s="43" t="s">
        <v>47</v>
      </c>
      <c r="D9" s="25">
        <v>0.02</v>
      </c>
      <c r="E9" s="33">
        <v>0.02</v>
      </c>
      <c r="F9" s="33">
        <v>0.02</v>
      </c>
      <c r="G9" s="33">
        <v>0.02</v>
      </c>
      <c r="H9" s="33">
        <v>0.02</v>
      </c>
    </row>
    <row r="10" spans="2:8" outlineLevel="1" x14ac:dyDescent="0.25">
      <c r="B10" s="43"/>
      <c r="C10" s="43" t="s">
        <v>48</v>
      </c>
      <c r="D10" s="26">
        <v>3</v>
      </c>
      <c r="E10" s="34">
        <v>3</v>
      </c>
      <c r="F10" s="34">
        <v>3</v>
      </c>
      <c r="G10" s="34">
        <v>3</v>
      </c>
      <c r="H10" s="34">
        <v>3</v>
      </c>
    </row>
    <row r="11" spans="2:8" x14ac:dyDescent="0.25">
      <c r="B11" s="44" t="s">
        <v>58</v>
      </c>
      <c r="C11" s="44"/>
      <c r="D11" s="29"/>
      <c r="E11" s="29"/>
      <c r="F11" s="29"/>
      <c r="G11" s="29"/>
      <c r="H11" s="29"/>
    </row>
    <row r="12" spans="2:8" outlineLevel="1" x14ac:dyDescent="0.25">
      <c r="B12" s="43"/>
      <c r="C12" s="43" t="s">
        <v>49</v>
      </c>
      <c r="D12" s="27">
        <v>260000000</v>
      </c>
      <c r="E12" s="27">
        <v>260000000</v>
      </c>
      <c r="F12" s="27">
        <v>260000000</v>
      </c>
      <c r="G12" s="27">
        <v>260000000</v>
      </c>
      <c r="H12" s="27">
        <v>260000000</v>
      </c>
    </row>
    <row r="13" spans="2:8" outlineLevel="1" x14ac:dyDescent="0.25">
      <c r="B13" s="43"/>
      <c r="C13" s="43" t="s">
        <v>50</v>
      </c>
      <c r="D13" s="27">
        <v>265600000</v>
      </c>
      <c r="E13" s="27">
        <v>265600000</v>
      </c>
      <c r="F13" s="27">
        <v>265600000</v>
      </c>
      <c r="G13" s="27">
        <v>265600000</v>
      </c>
      <c r="H13" s="27">
        <v>265600000</v>
      </c>
    </row>
    <row r="14" spans="2:8" outlineLevel="1" x14ac:dyDescent="0.25">
      <c r="B14" s="43"/>
      <c r="C14" s="43" t="s">
        <v>51</v>
      </c>
      <c r="D14" s="27">
        <v>264003520</v>
      </c>
      <c r="E14" s="27">
        <v>266811520</v>
      </c>
      <c r="F14" s="27">
        <v>264003520</v>
      </c>
      <c r="G14" s="27">
        <v>266811520</v>
      </c>
      <c r="H14" s="27">
        <v>264003520</v>
      </c>
    </row>
    <row r="15" spans="2:8" outlineLevel="1" x14ac:dyDescent="0.25">
      <c r="B15" s="43"/>
      <c r="C15" s="43" t="s">
        <v>52</v>
      </c>
      <c r="D15" s="27">
        <v>274898627.58399999</v>
      </c>
      <c r="E15" s="27">
        <v>278175408.63999999</v>
      </c>
      <c r="F15" s="27">
        <v>274898627.58399999</v>
      </c>
      <c r="G15" s="27">
        <v>278175408.63999999</v>
      </c>
      <c r="H15" s="27">
        <v>274898627.58399999</v>
      </c>
    </row>
    <row r="16" spans="2:8" outlineLevel="1" x14ac:dyDescent="0.25">
      <c r="B16" s="43"/>
      <c r="C16" s="43" t="s">
        <v>53</v>
      </c>
      <c r="D16" s="27">
        <v>288145073.52268797</v>
      </c>
      <c r="E16" s="27">
        <v>293019786.51648003</v>
      </c>
      <c r="F16" s="27">
        <v>288145073.52268797</v>
      </c>
      <c r="G16" s="27">
        <v>293019786.51648003</v>
      </c>
      <c r="H16" s="27">
        <v>288145073.52268797</v>
      </c>
    </row>
    <row r="17" spans="2:8" ht="15.75" outlineLevel="1" thickBot="1" x14ac:dyDescent="0.3">
      <c r="B17" s="45"/>
      <c r="C17" s="45" t="s">
        <v>54</v>
      </c>
      <c r="D17" s="28">
        <v>303427335.97141403</v>
      </c>
      <c r="E17" s="28">
        <v>308458039.78100699</v>
      </c>
      <c r="F17" s="28">
        <v>303427335.97141403</v>
      </c>
      <c r="G17" s="28">
        <v>308458039.78100699</v>
      </c>
      <c r="H17" s="28">
        <v>303427335.97141403</v>
      </c>
    </row>
    <row r="18" spans="2:8" x14ac:dyDescent="0.25">
      <c r="B18" t="s">
        <v>59</v>
      </c>
    </row>
    <row r="19" spans="2:8" x14ac:dyDescent="0.25">
      <c r="B19" t="s">
        <v>60</v>
      </c>
    </row>
    <row r="20" spans="2:8" x14ac:dyDescent="0.25">
      <c r="B2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1"/>
  <sheetViews>
    <sheetView topLeftCell="A4" workbookViewId="0">
      <selection activeCell="C12" sqref="C12:G16"/>
    </sheetView>
  </sheetViews>
  <sheetFormatPr defaultRowHeight="15" x14ac:dyDescent="0.25"/>
  <cols>
    <col min="1" max="1" width="38.42578125" customWidth="1"/>
    <col min="2" max="2" width="16.5703125" customWidth="1"/>
    <col min="3" max="3" width="16.85546875" customWidth="1"/>
    <col min="4" max="4" width="16.5703125" customWidth="1"/>
    <col min="5" max="5" width="17.140625" customWidth="1"/>
    <col min="6" max="6" width="17.28515625" customWidth="1"/>
    <col min="7" max="7" width="17" customWidth="1"/>
  </cols>
  <sheetData>
    <row r="1" spans="1:13" ht="18.75" x14ac:dyDescent="0.3">
      <c r="A1" s="4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x14ac:dyDescent="0.25">
      <c r="A2" s="5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5.75" x14ac:dyDescent="0.25">
      <c r="A3" s="3" t="s">
        <v>13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2"/>
      <c r="I3" s="2"/>
      <c r="J3" s="2"/>
      <c r="K3" s="2"/>
      <c r="L3" s="2"/>
      <c r="M3" s="2"/>
    </row>
    <row r="4" spans="1:13" ht="15.75" x14ac:dyDescent="0.25">
      <c r="A4" s="2" t="s">
        <v>7</v>
      </c>
      <c r="B4" s="7" t="s">
        <v>9</v>
      </c>
      <c r="C4" s="8">
        <v>0.2</v>
      </c>
      <c r="D4" s="8">
        <v>0.2</v>
      </c>
      <c r="E4" s="8">
        <v>0.2</v>
      </c>
      <c r="F4" s="8">
        <v>0.2</v>
      </c>
      <c r="G4" s="8">
        <v>0.2</v>
      </c>
      <c r="H4" s="2"/>
      <c r="I4" s="2"/>
      <c r="J4" s="2"/>
      <c r="K4" s="2"/>
      <c r="L4" s="2"/>
      <c r="M4" s="2"/>
    </row>
    <row r="5" spans="1:13" ht="15.75" x14ac:dyDescent="0.25">
      <c r="A5" s="2" t="s">
        <v>8</v>
      </c>
      <c r="B5" s="7" t="s">
        <v>9</v>
      </c>
      <c r="C5" s="9">
        <v>400000000</v>
      </c>
      <c r="D5" s="9">
        <v>400000000</v>
      </c>
      <c r="E5" s="9">
        <v>400000000</v>
      </c>
      <c r="F5" s="9">
        <v>400000000</v>
      </c>
      <c r="G5" s="9">
        <v>400000000</v>
      </c>
      <c r="H5" s="2"/>
      <c r="I5" s="2"/>
      <c r="J5" s="2"/>
      <c r="K5" s="2"/>
      <c r="L5" s="2"/>
      <c r="M5" s="2"/>
    </row>
    <row r="6" spans="1:13" ht="15.75" x14ac:dyDescent="0.25">
      <c r="A6" s="2" t="s">
        <v>42</v>
      </c>
      <c r="B6" s="7" t="s">
        <v>9</v>
      </c>
      <c r="C6" s="9">
        <v>300000000</v>
      </c>
      <c r="D6" s="9">
        <v>300000000</v>
      </c>
      <c r="E6" s="9">
        <v>300000000</v>
      </c>
      <c r="F6" s="9">
        <v>300000000</v>
      </c>
      <c r="G6" s="9">
        <v>300000000</v>
      </c>
      <c r="H6" s="2"/>
      <c r="I6" s="2"/>
      <c r="J6" s="2"/>
      <c r="K6" s="2"/>
      <c r="L6" s="2"/>
      <c r="M6" s="2"/>
    </row>
    <row r="7" spans="1:13" ht="15.75" x14ac:dyDescent="0.25">
      <c r="A7" s="2" t="s">
        <v>21</v>
      </c>
      <c r="B7" s="8">
        <v>0.05</v>
      </c>
      <c r="C7" s="7" t="s">
        <v>9</v>
      </c>
      <c r="D7" s="7" t="s">
        <v>9</v>
      </c>
      <c r="E7" s="7" t="s">
        <v>9</v>
      </c>
      <c r="F7" s="7" t="s">
        <v>9</v>
      </c>
      <c r="G7" s="7" t="s">
        <v>9</v>
      </c>
      <c r="H7" s="2"/>
      <c r="I7" s="2"/>
      <c r="J7" s="2"/>
      <c r="K7" s="2"/>
      <c r="L7" s="2"/>
      <c r="M7" s="2"/>
    </row>
    <row r="8" spans="1:13" ht="15.75" x14ac:dyDescent="0.25">
      <c r="A8" s="2" t="s">
        <v>26</v>
      </c>
      <c r="B8" s="7" t="s">
        <v>9</v>
      </c>
      <c r="C8" s="8">
        <v>0.02</v>
      </c>
      <c r="D8" s="8">
        <v>0.02</v>
      </c>
      <c r="E8" s="8">
        <v>0.02</v>
      </c>
      <c r="F8" s="8">
        <v>0.02</v>
      </c>
      <c r="G8" s="8">
        <v>0.02</v>
      </c>
      <c r="H8" s="2"/>
      <c r="I8" s="2"/>
      <c r="J8" s="2"/>
      <c r="K8" s="2"/>
      <c r="L8" s="2"/>
      <c r="M8" s="2"/>
    </row>
    <row r="9" spans="1:13" ht="15.75" x14ac:dyDescent="0.25">
      <c r="A9" s="2" t="s">
        <v>40</v>
      </c>
      <c r="B9" s="8">
        <v>0.2</v>
      </c>
      <c r="C9" s="8">
        <v>0.2</v>
      </c>
      <c r="D9" s="8">
        <v>0.2</v>
      </c>
      <c r="E9" s="8">
        <v>0.2</v>
      </c>
      <c r="F9" s="8">
        <v>0.2</v>
      </c>
      <c r="G9" s="8">
        <v>0.2</v>
      </c>
      <c r="H9" s="2"/>
      <c r="I9" s="2"/>
      <c r="J9" s="2"/>
      <c r="K9" s="2"/>
      <c r="L9" s="2"/>
      <c r="M9" s="2"/>
    </row>
    <row r="10" spans="1:13" ht="15.75" x14ac:dyDescent="0.25">
      <c r="A10" s="2"/>
      <c r="B10" s="7"/>
      <c r="C10" s="7"/>
      <c r="D10" s="7"/>
      <c r="E10" s="7"/>
      <c r="F10" s="7"/>
      <c r="G10" s="7"/>
      <c r="H10" s="2"/>
      <c r="I10" s="2"/>
      <c r="J10" s="2"/>
      <c r="K10" s="2"/>
      <c r="L10" s="2"/>
      <c r="M10" s="2"/>
    </row>
    <row r="11" spans="1:13" ht="15.75" x14ac:dyDescent="0.25">
      <c r="A11" s="3" t="s">
        <v>12</v>
      </c>
      <c r="B11" s="6" t="s">
        <v>1</v>
      </c>
      <c r="C11" s="6" t="s">
        <v>2</v>
      </c>
      <c r="D11" s="6" t="s">
        <v>3</v>
      </c>
      <c r="E11" s="6" t="s">
        <v>4</v>
      </c>
      <c r="F11" s="6" t="s">
        <v>5</v>
      </c>
      <c r="G11" s="6" t="s">
        <v>6</v>
      </c>
      <c r="H11" s="2"/>
      <c r="I11" s="2"/>
      <c r="J11" s="2"/>
      <c r="K11" s="2"/>
      <c r="L11" s="2"/>
      <c r="M11" s="2"/>
    </row>
    <row r="12" spans="1:13" ht="15.75" x14ac:dyDescent="0.25">
      <c r="A12" s="2" t="s">
        <v>14</v>
      </c>
      <c r="B12" s="7" t="s">
        <v>9</v>
      </c>
      <c r="C12" s="20">
        <v>1500000</v>
      </c>
      <c r="D12" s="7" t="s">
        <v>9</v>
      </c>
      <c r="E12" s="7" t="s">
        <v>9</v>
      </c>
      <c r="F12" s="7" t="s">
        <v>9</v>
      </c>
      <c r="G12" s="7" t="s">
        <v>9</v>
      </c>
      <c r="H12" s="2"/>
      <c r="I12" s="2"/>
      <c r="J12" s="2"/>
      <c r="K12" s="2"/>
      <c r="L12" s="2"/>
      <c r="M12" s="2"/>
    </row>
    <row r="13" spans="1:13" ht="15.75" x14ac:dyDescent="0.25">
      <c r="A13" s="2" t="s">
        <v>10</v>
      </c>
      <c r="B13" s="7" t="s">
        <v>9</v>
      </c>
      <c r="C13" s="20">
        <v>300000</v>
      </c>
      <c r="D13" s="20">
        <v>0</v>
      </c>
      <c r="E13" s="20">
        <v>0</v>
      </c>
      <c r="F13" s="20">
        <v>0</v>
      </c>
      <c r="G13" s="20">
        <v>0</v>
      </c>
      <c r="H13" s="2"/>
      <c r="I13" s="2"/>
      <c r="J13" s="2"/>
      <c r="K13" s="2"/>
      <c r="L13" s="2"/>
      <c r="M13" s="2"/>
    </row>
    <row r="14" spans="1:13" ht="15.75" x14ac:dyDescent="0.25">
      <c r="A14" s="2" t="s">
        <v>15</v>
      </c>
      <c r="B14" s="7" t="s">
        <v>9</v>
      </c>
      <c r="C14" s="18">
        <v>0.03</v>
      </c>
      <c r="D14" s="18">
        <v>0.03</v>
      </c>
      <c r="E14" s="18">
        <v>0.03</v>
      </c>
      <c r="F14" s="18">
        <v>0.03</v>
      </c>
      <c r="G14" s="18">
        <v>0.03</v>
      </c>
      <c r="H14" s="2"/>
      <c r="I14" s="2"/>
      <c r="J14" s="2"/>
      <c r="K14" s="2"/>
      <c r="L14" s="2"/>
      <c r="M14" s="2"/>
    </row>
    <row r="15" spans="1:13" ht="15.75" x14ac:dyDescent="0.25">
      <c r="A15" s="2" t="s">
        <v>27</v>
      </c>
      <c r="B15" s="7" t="s">
        <v>9</v>
      </c>
      <c r="C15" s="18">
        <v>0.02</v>
      </c>
      <c r="D15" s="18">
        <v>0.02</v>
      </c>
      <c r="E15" s="18">
        <v>0.02</v>
      </c>
      <c r="F15" s="18">
        <v>0.02</v>
      </c>
      <c r="G15" s="18">
        <v>0.02</v>
      </c>
      <c r="H15" s="2"/>
      <c r="I15" s="2"/>
      <c r="J15" s="2"/>
      <c r="K15" s="2"/>
      <c r="L15" s="2"/>
      <c r="M15" s="2"/>
    </row>
    <row r="16" spans="1:13" ht="15.75" x14ac:dyDescent="0.25">
      <c r="A16" s="2" t="s">
        <v>36</v>
      </c>
      <c r="B16" s="7" t="s">
        <v>9</v>
      </c>
      <c r="C16" s="19">
        <v>3</v>
      </c>
      <c r="D16" s="19">
        <v>3</v>
      </c>
      <c r="E16" s="19">
        <v>3</v>
      </c>
      <c r="F16" s="19">
        <v>3</v>
      </c>
      <c r="G16" s="19">
        <v>3</v>
      </c>
      <c r="H16" s="2"/>
      <c r="I16" s="2"/>
      <c r="J16" s="2"/>
      <c r="K16" s="2"/>
      <c r="L16" s="2"/>
      <c r="M16" s="2"/>
    </row>
    <row r="17" spans="1:13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5.75" x14ac:dyDescent="0.25">
      <c r="A18" s="3" t="s">
        <v>11</v>
      </c>
      <c r="B18" s="6" t="s">
        <v>1</v>
      </c>
      <c r="C18" s="6" t="s">
        <v>2</v>
      </c>
      <c r="D18" s="6" t="s">
        <v>3</v>
      </c>
      <c r="E18" s="6" t="s">
        <v>4</v>
      </c>
      <c r="F18" s="6" t="s">
        <v>5</v>
      </c>
      <c r="G18" s="6" t="s">
        <v>6</v>
      </c>
      <c r="H18" s="2"/>
      <c r="I18" s="2"/>
      <c r="J18" s="2"/>
      <c r="K18" s="2"/>
      <c r="L18" s="2"/>
      <c r="M18" s="2"/>
    </row>
    <row r="19" spans="1:13" ht="15.75" x14ac:dyDescent="0.25">
      <c r="A19" s="2" t="s">
        <v>35</v>
      </c>
      <c r="B19" s="10">
        <v>10000000</v>
      </c>
      <c r="C19" s="16">
        <f>C51</f>
        <v>8800000</v>
      </c>
      <c r="D19" s="16">
        <f t="shared" ref="D19:G19" si="0">D51</f>
        <v>7300000</v>
      </c>
      <c r="E19" s="16">
        <f t="shared" si="0"/>
        <v>5800000</v>
      </c>
      <c r="F19" s="16">
        <f t="shared" si="0"/>
        <v>4300000</v>
      </c>
      <c r="G19" s="16">
        <f t="shared" si="0"/>
        <v>2800000</v>
      </c>
      <c r="H19" s="2"/>
      <c r="I19" s="2"/>
      <c r="J19" s="2"/>
      <c r="K19" s="2"/>
      <c r="L19" s="2"/>
      <c r="M19" s="2"/>
    </row>
    <row r="20" spans="1:13" ht="15.75" x14ac:dyDescent="0.25">
      <c r="A20" s="2" t="s">
        <v>38</v>
      </c>
      <c r="B20" s="11">
        <v>26</v>
      </c>
      <c r="C20" s="11">
        <f>C52</f>
        <v>30.181818181818183</v>
      </c>
      <c r="D20" s="11">
        <f t="shared" ref="D20:G20" si="1">D52</f>
        <v>36.164865753424657</v>
      </c>
      <c r="E20" s="11">
        <f t="shared" si="1"/>
        <v>47.396315100689655</v>
      </c>
      <c r="F20" s="11">
        <f t="shared" si="1"/>
        <v>67.010482214578616</v>
      </c>
      <c r="G20" s="11">
        <f t="shared" si="1"/>
        <v>108.36690570407649</v>
      </c>
      <c r="H20" s="2"/>
      <c r="I20" s="2"/>
      <c r="J20" s="2"/>
      <c r="K20" s="2"/>
      <c r="L20" s="2"/>
      <c r="M20" s="2"/>
    </row>
    <row r="21" spans="1:13" ht="15.75" x14ac:dyDescent="0.25">
      <c r="A21" s="2" t="s">
        <v>37</v>
      </c>
      <c r="B21" s="11">
        <v>78</v>
      </c>
      <c r="C21" s="11">
        <f>C53</f>
        <v>0.60363636363636364</v>
      </c>
      <c r="D21" s="11">
        <f t="shared" ref="D21:G21" si="2">D53</f>
        <v>0.72329731506849315</v>
      </c>
      <c r="E21" s="11">
        <f t="shared" si="2"/>
        <v>0.94792630201379313</v>
      </c>
      <c r="F21" s="11">
        <f t="shared" si="2"/>
        <v>1.3402096442915723</v>
      </c>
      <c r="G21" s="11">
        <f t="shared" si="2"/>
        <v>2.16733811408153</v>
      </c>
      <c r="H21" s="2"/>
      <c r="I21" s="2"/>
      <c r="J21" s="2"/>
      <c r="K21" s="2"/>
      <c r="L21" s="2"/>
      <c r="M21" s="2"/>
    </row>
    <row r="22" spans="1:13" ht="15.75" x14ac:dyDescent="0.25">
      <c r="A22" s="2" t="s">
        <v>34</v>
      </c>
      <c r="B22" s="12">
        <v>500000000</v>
      </c>
      <c r="C22" s="13">
        <f>C49</f>
        <v>804520000</v>
      </c>
      <c r="D22" s="13">
        <f t="shared" ref="D22:G22" si="3">D49</f>
        <v>593317184</v>
      </c>
      <c r="E22" s="13">
        <f t="shared" si="3"/>
        <v>373398281.93279999</v>
      </c>
      <c r="F22" s="13">
        <f t="shared" si="3"/>
        <v>142882223.11464959</v>
      </c>
      <c r="G22" s="13">
        <f t="shared" si="3"/>
        <v>0</v>
      </c>
      <c r="H22" s="2"/>
      <c r="I22" s="2"/>
      <c r="J22" s="2"/>
      <c r="K22" s="2"/>
      <c r="L22" s="2"/>
      <c r="M22" s="2"/>
    </row>
    <row r="23" spans="1:13" ht="15.75" x14ac:dyDescent="0.25">
      <c r="A23" s="2" t="s">
        <v>23</v>
      </c>
      <c r="B23" s="12">
        <v>260000000</v>
      </c>
      <c r="C23" s="13">
        <f>C34</f>
        <v>265600000</v>
      </c>
      <c r="D23" s="13">
        <f t="shared" ref="D23:G23" si="4">D34</f>
        <v>264003520</v>
      </c>
      <c r="E23" s="13">
        <f t="shared" si="4"/>
        <v>274898627.58399999</v>
      </c>
      <c r="F23" s="13">
        <f t="shared" si="4"/>
        <v>288145073.52268803</v>
      </c>
      <c r="G23" s="13">
        <f t="shared" si="4"/>
        <v>303427335.97141415</v>
      </c>
      <c r="H23" s="2"/>
      <c r="I23" s="2"/>
      <c r="J23" s="2"/>
      <c r="K23" s="2"/>
      <c r="L23" s="2"/>
      <c r="M23" s="2"/>
    </row>
    <row r="24" spans="1:13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5.75" x14ac:dyDescent="0.25">
      <c r="A25" s="3" t="s">
        <v>16</v>
      </c>
      <c r="B25" s="6" t="s">
        <v>1</v>
      </c>
      <c r="C25" s="6" t="s">
        <v>2</v>
      </c>
      <c r="D25" s="6" t="s">
        <v>3</v>
      </c>
      <c r="E25" s="6" t="s">
        <v>4</v>
      </c>
      <c r="F25" s="6" t="s">
        <v>5</v>
      </c>
      <c r="G25" s="6" t="s">
        <v>6</v>
      </c>
      <c r="H25" s="2"/>
      <c r="I25" s="2"/>
      <c r="J25" s="2"/>
      <c r="K25" s="2"/>
      <c r="L25" s="2"/>
      <c r="M25" s="2"/>
    </row>
    <row r="26" spans="1:13" ht="15.75" x14ac:dyDescent="0.25">
      <c r="A26" s="2" t="s">
        <v>17</v>
      </c>
      <c r="B26" s="7" t="s">
        <v>9</v>
      </c>
      <c r="C26" s="13">
        <f>B43</f>
        <v>300000000</v>
      </c>
      <c r="D26" s="13">
        <f t="shared" ref="D26:G26" si="5">C43</f>
        <v>300000000</v>
      </c>
      <c r="E26" s="13">
        <f t="shared" si="5"/>
        <v>300000000</v>
      </c>
      <c r="F26" s="13">
        <f t="shared" si="5"/>
        <v>300000000</v>
      </c>
      <c r="G26" s="13">
        <f t="shared" si="5"/>
        <v>300000000</v>
      </c>
      <c r="H26" s="2"/>
      <c r="I26" s="2"/>
      <c r="J26" s="2"/>
      <c r="K26" s="2"/>
      <c r="L26" s="2"/>
      <c r="M26" s="2"/>
    </row>
    <row r="27" spans="1:13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15.75" x14ac:dyDescent="0.25">
      <c r="A28" s="2" t="s">
        <v>18</v>
      </c>
      <c r="B28" s="12">
        <v>1910000000</v>
      </c>
      <c r="C28" s="13">
        <f>(1+C8)*B28</f>
        <v>1948200000</v>
      </c>
      <c r="D28" s="13">
        <f t="shared" ref="D28:G28" si="6">(1+D8)*C28</f>
        <v>1987164000</v>
      </c>
      <c r="E28" s="13">
        <f t="shared" si="6"/>
        <v>2026907280</v>
      </c>
      <c r="F28" s="13">
        <f t="shared" si="6"/>
        <v>2067445425.6000001</v>
      </c>
      <c r="G28" s="13">
        <f t="shared" si="6"/>
        <v>2108794334.1120002</v>
      </c>
      <c r="H28" s="2"/>
      <c r="I28" s="2"/>
      <c r="J28" s="2"/>
      <c r="K28" s="2"/>
      <c r="L28" s="2"/>
      <c r="M28" s="2"/>
    </row>
    <row r="29" spans="1:13" ht="18" x14ac:dyDescent="0.4">
      <c r="A29" s="2" t="s">
        <v>19</v>
      </c>
      <c r="B29" s="14">
        <v>1560000000</v>
      </c>
      <c r="C29" s="14">
        <f>(1+C15)*B29</f>
        <v>1591200000</v>
      </c>
      <c r="D29" s="14">
        <f t="shared" ref="D29:G29" si="7">(1+D15)*C29</f>
        <v>1623024000</v>
      </c>
      <c r="E29" s="14">
        <f t="shared" si="7"/>
        <v>1655484480</v>
      </c>
      <c r="F29" s="14">
        <f t="shared" si="7"/>
        <v>1688594169.6000001</v>
      </c>
      <c r="G29" s="14">
        <f t="shared" si="7"/>
        <v>1722366052.9920001</v>
      </c>
      <c r="H29" s="22"/>
      <c r="I29" s="2"/>
      <c r="J29" s="2"/>
      <c r="K29" s="2"/>
      <c r="L29" s="2"/>
      <c r="M29" s="2"/>
    </row>
    <row r="30" spans="1:13" ht="15.75" x14ac:dyDescent="0.25">
      <c r="A30" s="2" t="s">
        <v>24</v>
      </c>
      <c r="B30" s="12">
        <f>B28-B29</f>
        <v>350000000</v>
      </c>
      <c r="C30" s="12">
        <f>C28-C29</f>
        <v>357000000</v>
      </c>
      <c r="D30" s="12">
        <f t="shared" ref="D30:G30" si="8">D28-D29</f>
        <v>364140000</v>
      </c>
      <c r="E30" s="12">
        <f t="shared" si="8"/>
        <v>371422800</v>
      </c>
      <c r="F30" s="12">
        <f t="shared" si="8"/>
        <v>378851256</v>
      </c>
      <c r="G30" s="12">
        <f t="shared" si="8"/>
        <v>386428281.12000012</v>
      </c>
      <c r="H30" s="2"/>
      <c r="I30" s="2"/>
      <c r="J30" s="2"/>
      <c r="K30" s="2"/>
      <c r="L30" s="2"/>
      <c r="M30" s="2"/>
    </row>
    <row r="31" spans="1:13" ht="18" x14ac:dyDescent="0.4">
      <c r="A31" s="2" t="s">
        <v>20</v>
      </c>
      <c r="B31" s="14">
        <v>25000000</v>
      </c>
      <c r="C31" s="14">
        <f>IF(C46&lt;=$B$49,$B$7*C46,($B$49*$B$7)+C14*(C46-$B$49))</f>
        <v>25000000</v>
      </c>
      <c r="D31" s="14">
        <f t="shared" ref="D31:G31" si="9">IF(D46&lt;=$B$49,$B$7*D46,($B$49*$B$7)+D14*(D46-$B$49))</f>
        <v>34135600</v>
      </c>
      <c r="E31" s="14">
        <f t="shared" si="9"/>
        <v>27799515.52</v>
      </c>
      <c r="F31" s="14">
        <f t="shared" si="9"/>
        <v>18669914.096640002</v>
      </c>
      <c r="G31" s="14">
        <f t="shared" si="9"/>
        <v>7144111.1557324799</v>
      </c>
      <c r="H31" s="2"/>
      <c r="I31" s="2"/>
      <c r="J31" s="2"/>
      <c r="K31" s="2"/>
      <c r="L31" s="2"/>
      <c r="M31" s="2"/>
    </row>
    <row r="32" spans="1:13" ht="15.75" x14ac:dyDescent="0.25">
      <c r="A32" s="2" t="s">
        <v>22</v>
      </c>
      <c r="B32" s="12">
        <f>B30-B31</f>
        <v>325000000</v>
      </c>
      <c r="C32" s="12">
        <f>C30-C31</f>
        <v>332000000</v>
      </c>
      <c r="D32" s="12">
        <f t="shared" ref="D32:G32" si="10">D30-D31</f>
        <v>330004400</v>
      </c>
      <c r="E32" s="12">
        <f t="shared" si="10"/>
        <v>343623284.48000002</v>
      </c>
      <c r="F32" s="12">
        <f t="shared" si="10"/>
        <v>360181341.90336001</v>
      </c>
      <c r="G32" s="12">
        <f t="shared" si="10"/>
        <v>379284169.96426767</v>
      </c>
      <c r="H32" s="2"/>
      <c r="I32" s="2"/>
      <c r="J32" s="2"/>
      <c r="K32" s="2"/>
      <c r="L32" s="2"/>
      <c r="M32" s="2"/>
    </row>
    <row r="33" spans="1:13" ht="18" x14ac:dyDescent="0.4">
      <c r="A33" s="2" t="s">
        <v>25</v>
      </c>
      <c r="B33" s="14">
        <f>0.2*B32</f>
        <v>65000000</v>
      </c>
      <c r="C33" s="14">
        <f>IF(C32&gt;0,C4*C32,0)</f>
        <v>66400000</v>
      </c>
      <c r="D33" s="14">
        <f t="shared" ref="D33:G33" si="11">IF(D32&gt;0,D4*D32,0)</f>
        <v>66000880</v>
      </c>
      <c r="E33" s="14">
        <f t="shared" si="11"/>
        <v>68724656.896000013</v>
      </c>
      <c r="F33" s="14">
        <f t="shared" si="11"/>
        <v>72036268.380672008</v>
      </c>
      <c r="G33" s="14">
        <f t="shared" si="11"/>
        <v>75856833.992853537</v>
      </c>
      <c r="H33" s="2"/>
      <c r="I33" s="2"/>
      <c r="J33" s="2"/>
      <c r="K33" s="2"/>
      <c r="L33" s="2"/>
      <c r="M33" s="2"/>
    </row>
    <row r="34" spans="1:13" ht="15.75" x14ac:dyDescent="0.25">
      <c r="A34" s="2" t="s">
        <v>23</v>
      </c>
      <c r="B34" s="12">
        <f>B32-B33</f>
        <v>260000000</v>
      </c>
      <c r="C34" s="12">
        <f>C32-C33</f>
        <v>265600000</v>
      </c>
      <c r="D34" s="12">
        <f t="shared" ref="D34:G34" si="12">D32-D33</f>
        <v>264003520</v>
      </c>
      <c r="E34" s="12">
        <f t="shared" si="12"/>
        <v>274898627.58399999</v>
      </c>
      <c r="F34" s="12">
        <f t="shared" si="12"/>
        <v>288145073.52268803</v>
      </c>
      <c r="G34" s="12">
        <f t="shared" si="12"/>
        <v>303427335.97141415</v>
      </c>
      <c r="H34" s="2"/>
      <c r="I34" s="2"/>
      <c r="J34" s="2"/>
      <c r="K34" s="2"/>
      <c r="L34" s="2"/>
      <c r="M34" s="2"/>
    </row>
    <row r="35" spans="1:13" ht="15.75" x14ac:dyDescent="0.25">
      <c r="A35" s="2"/>
      <c r="B35" s="12"/>
      <c r="C35" s="12"/>
      <c r="D35" s="12"/>
      <c r="E35" s="12"/>
      <c r="F35" s="12"/>
      <c r="G35" s="12"/>
      <c r="H35" s="2"/>
      <c r="I35" s="2"/>
      <c r="J35" s="2"/>
      <c r="K35" s="2"/>
      <c r="L35" s="2"/>
      <c r="M35" s="2"/>
    </row>
    <row r="36" spans="1:13" ht="15.75" x14ac:dyDescent="0.25">
      <c r="A36" s="2" t="s">
        <v>41</v>
      </c>
      <c r="B36" s="12">
        <v>52000000</v>
      </c>
      <c r="C36" s="12">
        <f xml:space="preserve"> IF( C34&lt;0,0,C34*C9)</f>
        <v>53120000</v>
      </c>
      <c r="D36" s="12">
        <f t="shared" ref="D36:G36" si="13" xml:space="preserve"> IF( D34&lt;0,0,D34*D9)</f>
        <v>52800704</v>
      </c>
      <c r="E36" s="12">
        <f t="shared" si="13"/>
        <v>54979725.516800001</v>
      </c>
      <c r="F36" s="12">
        <f t="shared" si="13"/>
        <v>57629014.704537608</v>
      </c>
      <c r="G36" s="12">
        <f t="shared" si="13"/>
        <v>60685467.19428283</v>
      </c>
      <c r="H36" s="2"/>
      <c r="I36" s="2"/>
      <c r="J36" s="2"/>
      <c r="K36" s="2"/>
      <c r="L36" s="2"/>
      <c r="M36" s="2"/>
    </row>
    <row r="37" spans="1:13" ht="15.75" x14ac:dyDescent="0.25">
      <c r="A37" s="2" t="s">
        <v>33</v>
      </c>
      <c r="B37" s="7" t="s">
        <v>9</v>
      </c>
      <c r="C37" s="21">
        <f>C5</f>
        <v>400000000</v>
      </c>
      <c r="D37" s="21">
        <f t="shared" ref="D37:G37" si="14">D5</f>
        <v>400000000</v>
      </c>
      <c r="E37" s="21">
        <f t="shared" si="14"/>
        <v>400000000</v>
      </c>
      <c r="F37" s="21">
        <f t="shared" si="14"/>
        <v>400000000</v>
      </c>
      <c r="G37" s="21">
        <f t="shared" si="14"/>
        <v>400000000</v>
      </c>
      <c r="H37" s="2"/>
      <c r="I37" s="2"/>
      <c r="J37" s="2"/>
      <c r="K37" s="2"/>
      <c r="L37" s="2"/>
      <c r="M37" s="2"/>
    </row>
    <row r="38" spans="1:13" ht="15.75" x14ac:dyDescent="0.25">
      <c r="A38" s="2" t="s">
        <v>39</v>
      </c>
      <c r="B38" s="7" t="s">
        <v>9</v>
      </c>
      <c r="C38" s="21">
        <f>C12*B53</f>
        <v>117000000</v>
      </c>
      <c r="D38" s="21">
        <v>0</v>
      </c>
      <c r="E38" s="21">
        <v>0</v>
      </c>
      <c r="F38" s="21">
        <v>0</v>
      </c>
      <c r="G38" s="21">
        <v>0</v>
      </c>
      <c r="H38" s="2"/>
      <c r="I38" s="2"/>
      <c r="J38" s="2"/>
      <c r="K38" s="2"/>
      <c r="L38" s="2"/>
      <c r="M38" s="2"/>
    </row>
    <row r="39" spans="1:13" ht="15.75" x14ac:dyDescent="0.25">
      <c r="A39" s="2"/>
      <c r="B39" s="1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5.75" x14ac:dyDescent="0.25">
      <c r="A40" s="2" t="s">
        <v>28</v>
      </c>
      <c r="B40" s="7" t="s">
        <v>9</v>
      </c>
      <c r="C40" s="13">
        <f>(C26+C34) -(C36+C38+C37)</f>
        <v>-4520000</v>
      </c>
      <c r="D40" s="13">
        <f t="shared" ref="D40:G40" si="15">(D26+D34) -(D36+D38)</f>
        <v>511202816</v>
      </c>
      <c r="E40" s="13">
        <f t="shared" si="15"/>
        <v>519918902.06720001</v>
      </c>
      <c r="F40" s="13">
        <f t="shared" si="15"/>
        <v>530516058.8181504</v>
      </c>
      <c r="G40" s="13">
        <f t="shared" si="15"/>
        <v>542741868.77713132</v>
      </c>
      <c r="H40" s="2"/>
      <c r="I40" s="2"/>
      <c r="J40" s="2"/>
      <c r="K40" s="2"/>
      <c r="L40" s="2"/>
      <c r="M40" s="2"/>
    </row>
    <row r="41" spans="1:13" ht="15.75" x14ac:dyDescent="0.25">
      <c r="A41" s="2" t="s">
        <v>31</v>
      </c>
      <c r="B41" s="7" t="s">
        <v>9</v>
      </c>
      <c r="C41" s="13">
        <f>IF( C40&gt;C6,0,C6-C40)</f>
        <v>304520000</v>
      </c>
      <c r="D41" s="13">
        <f t="shared" ref="D41:G41" si="16">IF( D40&gt;D6,0,D6-D40)</f>
        <v>0</v>
      </c>
      <c r="E41" s="13">
        <f t="shared" si="16"/>
        <v>0</v>
      </c>
      <c r="F41" s="13">
        <f t="shared" si="16"/>
        <v>0</v>
      </c>
      <c r="G41" s="13">
        <f t="shared" si="16"/>
        <v>0</v>
      </c>
      <c r="H41" s="2"/>
      <c r="I41" s="2"/>
      <c r="J41" s="2"/>
      <c r="K41" s="2"/>
      <c r="L41" s="2"/>
      <c r="M41" s="2"/>
    </row>
    <row r="42" spans="1:13" ht="18" x14ac:dyDescent="0.4">
      <c r="A42" s="2" t="s">
        <v>32</v>
      </c>
      <c r="B42" s="15" t="s">
        <v>9</v>
      </c>
      <c r="C42" s="17">
        <f>IF(C46=0,0,IF(C40&lt;=C6,0,IF((C40-C6)&gt;=C46,C46,(C40-C6))))</f>
        <v>0</v>
      </c>
      <c r="D42" s="17">
        <f t="shared" ref="D42:G42" si="17">IF(D46=0,0,IF(D40&lt;=D6,0,IF((D40-D6)&gt;=D46,D46,(D40-D6))))</f>
        <v>211202816</v>
      </c>
      <c r="E42" s="17">
        <f t="shared" si="17"/>
        <v>219918902.06720001</v>
      </c>
      <c r="F42" s="17">
        <f t="shared" si="17"/>
        <v>230516058.8181504</v>
      </c>
      <c r="G42" s="17">
        <f t="shared" si="17"/>
        <v>142882223.11464959</v>
      </c>
      <c r="H42" s="2"/>
      <c r="I42" s="2"/>
      <c r="J42" s="2"/>
      <c r="K42" s="2"/>
      <c r="L42" s="2"/>
      <c r="M42" s="2"/>
    </row>
    <row r="43" spans="1:13" ht="15.75" x14ac:dyDescent="0.25">
      <c r="A43" s="2" t="s">
        <v>43</v>
      </c>
      <c r="B43" s="12">
        <v>300000000</v>
      </c>
      <c r="C43" s="13">
        <f>(C40+C41)-C42</f>
        <v>300000000</v>
      </c>
      <c r="D43" s="13">
        <f t="shared" ref="D43:G43" si="18">(D40+D41)-D42</f>
        <v>300000000</v>
      </c>
      <c r="E43" s="13">
        <f t="shared" si="18"/>
        <v>300000000</v>
      </c>
      <c r="F43" s="13">
        <f t="shared" si="18"/>
        <v>300000000</v>
      </c>
      <c r="G43" s="13">
        <f t="shared" si="18"/>
        <v>399859645.66248173</v>
      </c>
      <c r="H43" s="2"/>
      <c r="I43" s="2"/>
      <c r="J43" s="2"/>
      <c r="K43" s="2"/>
      <c r="L43" s="2"/>
      <c r="M43" s="2"/>
    </row>
    <row r="44" spans="1:13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5.75" x14ac:dyDescent="0.25">
      <c r="A45" s="3" t="s">
        <v>29</v>
      </c>
      <c r="B45" s="6" t="s">
        <v>1</v>
      </c>
      <c r="C45" s="6" t="s">
        <v>2</v>
      </c>
      <c r="D45" s="6" t="s">
        <v>3</v>
      </c>
      <c r="E45" s="6" t="s">
        <v>4</v>
      </c>
      <c r="F45" s="6" t="s">
        <v>5</v>
      </c>
      <c r="G45" s="6" t="s">
        <v>6</v>
      </c>
      <c r="H45" s="2"/>
      <c r="I45" s="2"/>
      <c r="J45" s="2"/>
      <c r="K45" s="2"/>
      <c r="L45" s="2"/>
      <c r="M45" s="2"/>
    </row>
    <row r="46" spans="1:13" ht="15.75" x14ac:dyDescent="0.25">
      <c r="A46" s="2" t="s">
        <v>30</v>
      </c>
      <c r="B46" s="7" t="s">
        <v>9</v>
      </c>
      <c r="C46" s="13">
        <f>B49</f>
        <v>500000000</v>
      </c>
      <c r="D46" s="13">
        <f t="shared" ref="D46:G46" si="19">C49</f>
        <v>804520000</v>
      </c>
      <c r="E46" s="13">
        <f t="shared" si="19"/>
        <v>593317184</v>
      </c>
      <c r="F46" s="13">
        <f t="shared" si="19"/>
        <v>373398281.93279999</v>
      </c>
      <c r="G46" s="13">
        <f t="shared" si="19"/>
        <v>142882223.11464959</v>
      </c>
      <c r="H46" s="2"/>
      <c r="I46" s="2"/>
      <c r="J46" s="2"/>
      <c r="K46" s="2"/>
      <c r="L46" s="2"/>
      <c r="M46" s="2"/>
    </row>
    <row r="47" spans="1:13" ht="15.75" x14ac:dyDescent="0.25">
      <c r="A47" s="2" t="s">
        <v>31</v>
      </c>
      <c r="B47" s="7" t="s">
        <v>9</v>
      </c>
      <c r="C47" s="13">
        <f>C41</f>
        <v>304520000</v>
      </c>
      <c r="D47" s="13">
        <f t="shared" ref="D47:G47" si="20">D41</f>
        <v>0</v>
      </c>
      <c r="E47" s="13">
        <f t="shared" si="20"/>
        <v>0</v>
      </c>
      <c r="F47" s="13">
        <f t="shared" si="20"/>
        <v>0</v>
      </c>
      <c r="G47" s="13">
        <f t="shared" si="20"/>
        <v>0</v>
      </c>
      <c r="H47" s="2"/>
      <c r="I47" s="2"/>
      <c r="J47" s="2"/>
      <c r="K47" s="2"/>
      <c r="L47" s="2"/>
      <c r="M47" s="2"/>
    </row>
    <row r="48" spans="1:13" ht="18" x14ac:dyDescent="0.4">
      <c r="A48" s="2" t="s">
        <v>32</v>
      </c>
      <c r="B48" s="7" t="s">
        <v>9</v>
      </c>
      <c r="C48" s="17">
        <f>C42</f>
        <v>0</v>
      </c>
      <c r="D48" s="17">
        <f t="shared" ref="D48:G48" si="21">D42</f>
        <v>211202816</v>
      </c>
      <c r="E48" s="17">
        <f t="shared" si="21"/>
        <v>219918902.06720001</v>
      </c>
      <c r="F48" s="17">
        <f t="shared" si="21"/>
        <v>230516058.8181504</v>
      </c>
      <c r="G48" s="17">
        <f t="shared" si="21"/>
        <v>142882223.11464959</v>
      </c>
      <c r="H48" s="2"/>
      <c r="I48" s="2"/>
      <c r="J48" s="2"/>
      <c r="K48" s="2"/>
      <c r="L48" s="2"/>
      <c r="M48" s="2"/>
    </row>
    <row r="49" spans="1:13" ht="15.75" x14ac:dyDescent="0.25">
      <c r="A49" s="2" t="s">
        <v>34</v>
      </c>
      <c r="B49" s="12">
        <v>500000000</v>
      </c>
      <c r="C49" s="12">
        <f xml:space="preserve"> (C46+C47)-C48</f>
        <v>804520000</v>
      </c>
      <c r="D49" s="12">
        <f t="shared" ref="D49:G49" si="22" xml:space="preserve"> (D46+D47)-D48</f>
        <v>593317184</v>
      </c>
      <c r="E49" s="12">
        <f t="shared" si="22"/>
        <v>373398281.93279999</v>
      </c>
      <c r="F49" s="12">
        <f t="shared" si="22"/>
        <v>142882223.11464959</v>
      </c>
      <c r="G49" s="12">
        <f t="shared" si="22"/>
        <v>0</v>
      </c>
      <c r="H49" s="2"/>
      <c r="I49" s="2"/>
      <c r="J49" s="2"/>
      <c r="K49" s="2"/>
      <c r="L49" s="2"/>
      <c r="M49" s="2"/>
    </row>
    <row r="50" spans="1:13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5.75" x14ac:dyDescent="0.25">
      <c r="A51" s="2" t="s">
        <v>35</v>
      </c>
      <c r="B51" s="10">
        <v>10000000</v>
      </c>
      <c r="C51" s="16">
        <f>B51+C13-$C$12</f>
        <v>8800000</v>
      </c>
      <c r="D51" s="16">
        <f t="shared" ref="D51:G51" si="23">C51+D13-$C$12</f>
        <v>7300000</v>
      </c>
      <c r="E51" s="16">
        <f t="shared" si="23"/>
        <v>5800000</v>
      </c>
      <c r="F51" s="16">
        <f t="shared" si="23"/>
        <v>4300000</v>
      </c>
      <c r="G51" s="16">
        <f t="shared" si="23"/>
        <v>2800000</v>
      </c>
      <c r="H51" s="2"/>
      <c r="I51" s="2"/>
      <c r="J51" s="2"/>
      <c r="K51" s="2"/>
      <c r="L51" s="2"/>
      <c r="M51" s="2"/>
    </row>
    <row r="52" spans="1:13" ht="15.75" x14ac:dyDescent="0.25">
      <c r="A52" s="2" t="s">
        <v>38</v>
      </c>
      <c r="B52" s="11">
        <f>B34/B51</f>
        <v>26</v>
      </c>
      <c r="C52" s="11">
        <f>C34/C51</f>
        <v>30.181818181818183</v>
      </c>
      <c r="D52" s="11">
        <f t="shared" ref="D52:G52" si="24">D34/D51</f>
        <v>36.164865753424657</v>
      </c>
      <c r="E52" s="11">
        <f t="shared" si="24"/>
        <v>47.396315100689655</v>
      </c>
      <c r="F52" s="11">
        <f t="shared" si="24"/>
        <v>67.010482214578616</v>
      </c>
      <c r="G52" s="11">
        <f t="shared" si="24"/>
        <v>108.36690570407649</v>
      </c>
      <c r="H52" s="2"/>
      <c r="I52" s="2"/>
      <c r="J52" s="2"/>
      <c r="K52" s="2"/>
      <c r="L52" s="2"/>
      <c r="M52" s="2"/>
    </row>
    <row r="53" spans="1:13" ht="15.75" x14ac:dyDescent="0.25">
      <c r="A53" s="2" t="s">
        <v>37</v>
      </c>
      <c r="B53" s="11">
        <v>78</v>
      </c>
      <c r="C53" s="11">
        <f>C15*C52</f>
        <v>0.60363636363636364</v>
      </c>
      <c r="D53" s="11">
        <f t="shared" ref="D53:G53" si="25">D15*D52</f>
        <v>0.72329731506849315</v>
      </c>
      <c r="E53" s="11">
        <f t="shared" si="25"/>
        <v>0.94792630201379313</v>
      </c>
      <c r="F53" s="11">
        <f t="shared" si="25"/>
        <v>1.3402096442915723</v>
      </c>
      <c r="G53" s="11">
        <f t="shared" si="25"/>
        <v>2.16733811408153</v>
      </c>
      <c r="H53" s="2"/>
      <c r="I53" s="2"/>
      <c r="J53" s="2"/>
      <c r="K53" s="2"/>
      <c r="L53" s="2"/>
      <c r="M53" s="2"/>
    </row>
    <row r="54" spans="1:13" ht="15.75" x14ac:dyDescent="0.25">
      <c r="A54" s="2"/>
      <c r="B54" s="11"/>
      <c r="C54" s="11"/>
      <c r="D54" s="11"/>
      <c r="E54" s="11"/>
      <c r="F54" s="11"/>
      <c r="G54" s="11"/>
      <c r="H54" s="2"/>
      <c r="I54" s="2"/>
      <c r="J54" s="2"/>
      <c r="K54" s="2"/>
      <c r="L54" s="2"/>
      <c r="M54" s="2"/>
    </row>
    <row r="55" spans="1:13" ht="15.75" x14ac:dyDescent="0.25">
      <c r="A55" s="2"/>
      <c r="B55" s="1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</sheetData>
  <scenarios current="3" show="3" sqref="B23:G23">
    <scenario name="Qustion 1 : Do Nothing  " locked="1" count="5" user="NA">
      <inputCells r="C12" val="0" numFmtId="165"/>
      <inputCells r="C13" val="0" numFmtId="165"/>
      <inputCells r="C14" val="0.03" numFmtId="9"/>
      <inputCells r="C15" val="0.02" numFmtId="9"/>
      <inputCells r="C16" val="3" numFmtId="166"/>
    </scenario>
    <scenario name="Qustion 2: Buyback only " locked="1" count="5" user="NA">
      <inputCells r="C12" val="1500000" numFmtId="165"/>
      <inputCells r="C13" val="0" numFmtId="165"/>
      <inputCells r="C14" val="0.03" numFmtId="9"/>
      <inputCells r="C15" val="0.02" numFmtId="9"/>
      <inputCells r="C16" val="3" numFmtId="166"/>
    </scenario>
    <scenario name="Qustion 3 : bouns share only" locked="1" count="5" user="NA">
      <inputCells r="C12" val="0" numFmtId="165"/>
      <inputCells r="C13" val="300000" numFmtId="165"/>
      <inputCells r="C14" val="0.03" numFmtId="9"/>
      <inputCells r="C15" val="0.02" numFmtId="9"/>
      <inputCells r="C16" val="3" numFmtId="166"/>
    </scenario>
    <scenario name="Qustion 4 Broard Recommendation" locked="1" count="5" user="NA">
      <inputCells r="C12" val="1500000" numFmtId="165"/>
      <inputCells r="C13" val="300000" numFmtId="165"/>
      <inputCells r="C14" val="0.03" numFmtId="9"/>
      <inputCells r="C15" val="0.02" numFmtId="9"/>
      <inputCells r="C16" val="3" numFmtId="166"/>
    </scenario>
  </scenarios>
  <conditionalFormatting sqref="C13:G13">
    <cfRule type="cellIs" dxfId="2" priority="6" operator="greaterThan">
      <formula>300000</formula>
    </cfRule>
  </conditionalFormatting>
  <conditionalFormatting sqref="C12">
    <cfRule type="cellIs" dxfId="1" priority="2" operator="greaterThan">
      <formula>1500000</formula>
    </cfRule>
  </conditionalFormatting>
  <conditionalFormatting sqref="I10">
    <cfRule type="cellIs" dxfId="0" priority="1" operator="lessThan">
      <formula>1500001</formula>
    </cfRule>
  </conditionalFormatting>
  <pageMargins left="0.7" right="0.7" top="0.75" bottom="0.75" header="0.3" footer="0.3"/>
  <ignoredErrors>
    <ignoredError sqref="B3:G3 B18:G18 B25:G25 B45:G45 B11:G11" numberStoredAsText="1"/>
    <ignoredError sqref="B3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Scenario Summary</vt:lpstr>
      <vt:lpstr>Scenario Summary 2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</dc:creator>
  <cp:lastModifiedBy>James Mulwa</cp:lastModifiedBy>
  <dcterms:created xsi:type="dcterms:W3CDTF">2015-07-03T16:25:22Z</dcterms:created>
  <dcterms:modified xsi:type="dcterms:W3CDTF">2018-05-24T18:21:18Z</dcterms:modified>
</cp:coreProperties>
</file>